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0" windowWidth="11184" windowHeight="7368" activeTab="0"/>
  </bookViews>
  <sheets>
    <sheet name="実感太陽系" sheetId="1" r:id="rId1"/>
  </sheets>
  <definedNames/>
  <calcPr fullCalcOnLoad="1"/>
</workbook>
</file>

<file path=xl/sharedStrings.xml><?xml version="1.0" encoding="utf-8"?>
<sst xmlns="http://schemas.openxmlformats.org/spreadsheetml/2006/main" count="292" uniqueCount="112">
  <si>
    <t>太陽</t>
  </si>
  <si>
    <t>Sun</t>
  </si>
  <si>
    <t>15'59.64"</t>
  </si>
  <si>
    <t>水星</t>
  </si>
  <si>
    <t>Mercury</t>
  </si>
  <si>
    <t>5.49"</t>
  </si>
  <si>
    <t>金星</t>
  </si>
  <si>
    <t>Venus</t>
  </si>
  <si>
    <t>30.16"</t>
  </si>
  <si>
    <t>地球</t>
  </si>
  <si>
    <t>Earth</t>
  </si>
  <si>
    <t>--</t>
  </si>
  <si>
    <t>月</t>
  </si>
  <si>
    <t>Moon</t>
  </si>
  <si>
    <t>15'32.58"</t>
  </si>
  <si>
    <t>火星</t>
  </si>
  <si>
    <t>Mars</t>
  </si>
  <si>
    <t>8.94"</t>
  </si>
  <si>
    <t>木星</t>
  </si>
  <si>
    <t>Jupiter</t>
  </si>
  <si>
    <t>23.46"</t>
  </si>
  <si>
    <t>土星</t>
  </si>
  <si>
    <t>Saturn</t>
  </si>
  <si>
    <t>9.71"</t>
  </si>
  <si>
    <t>天王星</t>
  </si>
  <si>
    <t>Uranus</t>
  </si>
  <si>
    <t>1.93"</t>
  </si>
  <si>
    <t>海王星</t>
  </si>
  <si>
    <t>Neptune</t>
  </si>
  <si>
    <t>1.17"</t>
  </si>
  <si>
    <t>冥王星</t>
  </si>
  <si>
    <t>Pluto</t>
  </si>
  <si>
    <t>0.04"</t>
  </si>
  <si>
    <t>α Cen</t>
  </si>
  <si>
    <t>αケンタウリ</t>
  </si>
  <si>
    <t>α CMa</t>
  </si>
  <si>
    <t>シリウス</t>
  </si>
  <si>
    <t>α Ori</t>
  </si>
  <si>
    <t>ベテルギウス</t>
  </si>
  <si>
    <t>α Sco</t>
  </si>
  <si>
    <t>アンタレス</t>
  </si>
  <si>
    <t>β Ori</t>
  </si>
  <si>
    <t>リゲル</t>
  </si>
  <si>
    <t>M45</t>
  </si>
  <si>
    <t>プレアデス</t>
  </si>
  <si>
    <t>M27</t>
  </si>
  <si>
    <t>M57</t>
  </si>
  <si>
    <t>M1</t>
  </si>
  <si>
    <t>M31</t>
  </si>
  <si>
    <t>M51</t>
  </si>
  <si>
    <t>11'x 8'</t>
  </si>
  <si>
    <t>M104</t>
  </si>
  <si>
    <t>9'x 4'</t>
  </si>
  <si>
    <t>M87</t>
  </si>
  <si>
    <t>7'x 7'</t>
  </si>
  <si>
    <t>1 AU</t>
  </si>
  <si>
    <t>1 光年</t>
  </si>
  <si>
    <t>1 pc</t>
  </si>
  <si>
    <t>光速</t>
  </si>
  <si>
    <t>m/sec</t>
  </si>
  <si>
    <t>名称</t>
  </si>
  <si>
    <t>視半径</t>
  </si>
  <si>
    <t>AU</t>
  </si>
  <si>
    <t>km</t>
  </si>
  <si>
    <t>光年</t>
  </si>
  <si>
    <t>半径</t>
  </si>
  <si>
    <t>太陽単位</t>
  </si>
  <si>
    <t>視直径</t>
  </si>
  <si>
    <t>200億分の１</t>
  </si>
  <si>
    <t>1兆分の１</t>
  </si>
  <si>
    <t>距離</t>
  </si>
  <si>
    <t>直径</t>
  </si>
  <si>
    <t>mm</t>
  </si>
  <si>
    <t>m</t>
  </si>
  <si>
    <t>cm</t>
  </si>
  <si>
    <t>cm</t>
  </si>
  <si>
    <t>m</t>
  </si>
  <si>
    <t>視直径(')</t>
  </si>
  <si>
    <t>μm</t>
  </si>
  <si>
    <t>注)星雲・星団の大きさは視直径・距離から算出。尚、銀河の視直径は大きい方を使用した。</t>
  </si>
  <si>
    <t>pm</t>
  </si>
  <si>
    <t>fm</t>
  </si>
  <si>
    <t>pm</t>
  </si>
  <si>
    <t>参考文献</t>
  </si>
  <si>
    <t xml:space="preserve"> 理科年表 1998 国立天文台 編</t>
  </si>
  <si>
    <t xml:space="preserve"> 天文年鑑 1996 天文年鑑編集委員会/編</t>
  </si>
  <si>
    <t>pm</t>
  </si>
  <si>
    <t>nm</t>
  </si>
  <si>
    <t>mm/sec</t>
  </si>
  <si>
    <t>直径</t>
  </si>
  <si>
    <t>180'x 63'</t>
  </si>
  <si>
    <t>亜鈴状星雲</t>
  </si>
  <si>
    <t>環状星雲</t>
  </si>
  <si>
    <t>ばら星雲</t>
  </si>
  <si>
    <t>かに星雲</t>
  </si>
  <si>
    <t>1000垓分の１</t>
  </si>
  <si>
    <t>＝ 1:1000 0000 0000 0000 0000 0000</t>
  </si>
  <si>
    <t xml:space="preserve">by T.NOMOTO </t>
  </si>
  <si>
    <t>実感 太陽系/銀河系 スケール</t>
  </si>
  <si>
    <t>実寸</t>
  </si>
  <si>
    <t>更新履歴</t>
  </si>
  <si>
    <t>0.1.0</t>
  </si>
  <si>
    <t>0.1.1</t>
  </si>
  <si>
    <t>距離／軌道長半径</t>
  </si>
  <si>
    <t>mm/万年</t>
  </si>
  <si>
    <t>1000垓分の１</t>
  </si>
  <si>
    <t>Ver.</t>
  </si>
  <si>
    <t>03. Nov. 2000</t>
  </si>
  <si>
    <t>04. Nov. 2000</t>
  </si>
  <si>
    <t>作成・公開</t>
  </si>
  <si>
    <t>直径 = pi * 距離 * (視直径' / (180 * 60))</t>
  </si>
  <si>
    <t>罫線を入れた,  200億分の１のアンタレスのサイズの単位をmに修正,  千垓分の１で光速を１万年単位にした,  「単位」という欄を消した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</si>
</sst>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 quotePrefix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 quotePrefix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75" zoomScaleNormal="75" workbookViewId="0" topLeftCell="A10">
      <selection activeCell="C46" sqref="C46"/>
    </sheetView>
  </sheetViews>
  <sheetFormatPr defaultColWidth="9.00390625" defaultRowHeight="13.5"/>
  <cols>
    <col min="1" max="1" width="7.00390625" style="0" customWidth="1"/>
    <col min="2" max="2" width="12.25390625" style="0" customWidth="1"/>
    <col min="3" max="3" width="11.125" style="0" customWidth="1"/>
    <col min="4" max="4" width="5.00390625" style="0" customWidth="1"/>
    <col min="5" max="5" width="7.25390625" style="0" customWidth="1"/>
    <col min="6" max="6" width="8.50390625" style="0" customWidth="1"/>
    <col min="8" max="8" width="12.375" style="0" bestFit="1" customWidth="1"/>
    <col min="9" max="9" width="4.50390625" style="0" customWidth="1"/>
    <col min="10" max="10" width="6.75390625" style="0" customWidth="1"/>
    <col min="11" max="11" width="4.50390625" style="0" customWidth="1"/>
    <col min="13" max="13" width="4.625" style="0" customWidth="1"/>
    <col min="14" max="14" width="9.375" style="0" customWidth="1"/>
    <col min="15" max="15" width="4.50390625" style="0" customWidth="1"/>
    <col min="16" max="16" width="12.375" style="0" bestFit="1" customWidth="1"/>
    <col min="17" max="17" width="4.375" style="0" customWidth="1"/>
    <col min="19" max="19" width="4.875" style="0" customWidth="1"/>
  </cols>
  <sheetData>
    <row r="1" spans="1:8" ht="12.75">
      <c r="A1" s="1" t="s">
        <v>98</v>
      </c>
      <c r="D1" s="25" t="s">
        <v>106</v>
      </c>
      <c r="E1" t="str">
        <f>A46</f>
        <v>0.1.1</v>
      </c>
      <c r="F1" s="24" t="str">
        <f>B46</f>
        <v>04. Nov. 2000</v>
      </c>
      <c r="H1" t="s">
        <v>97</v>
      </c>
    </row>
    <row r="2" spans="1:19" ht="12.75">
      <c r="A2" s="3"/>
      <c r="B2" s="4"/>
      <c r="C2" s="4"/>
      <c r="D2" s="4"/>
      <c r="E2" s="4"/>
      <c r="F2" s="4"/>
      <c r="G2" s="14"/>
      <c r="H2" s="3" t="s">
        <v>68</v>
      </c>
      <c r="I2" s="4"/>
      <c r="J2" s="4"/>
      <c r="K2" s="5"/>
      <c r="L2" s="3" t="s">
        <v>69</v>
      </c>
      <c r="M2" s="4"/>
      <c r="N2" s="4"/>
      <c r="O2" s="5"/>
      <c r="P2" s="4" t="s">
        <v>95</v>
      </c>
      <c r="Q2" s="11" t="s">
        <v>96</v>
      </c>
      <c r="R2" s="4"/>
      <c r="S2" s="5"/>
    </row>
    <row r="3" spans="1:19" ht="12.75">
      <c r="A3" s="12" t="s">
        <v>60</v>
      </c>
      <c r="B3" s="13"/>
      <c r="C3" s="12" t="s">
        <v>103</v>
      </c>
      <c r="D3" s="14"/>
      <c r="E3" s="13" t="s">
        <v>65</v>
      </c>
      <c r="F3" s="14"/>
      <c r="G3" s="4" t="s">
        <v>61</v>
      </c>
      <c r="H3" s="26" t="s">
        <v>70</v>
      </c>
      <c r="I3" s="27"/>
      <c r="J3" s="13" t="s">
        <v>71</v>
      </c>
      <c r="K3" s="13"/>
      <c r="L3" s="12" t="s">
        <v>70</v>
      </c>
      <c r="M3" s="13"/>
      <c r="N3" s="12" t="s">
        <v>71</v>
      </c>
      <c r="O3" s="13"/>
      <c r="P3" s="12" t="s">
        <v>70</v>
      </c>
      <c r="Q3" s="13"/>
      <c r="R3" s="12" t="s">
        <v>71</v>
      </c>
      <c r="S3" s="14"/>
    </row>
    <row r="4" spans="1:19" ht="12.75">
      <c r="A4" s="21" t="s">
        <v>0</v>
      </c>
      <c r="B4" s="8" t="s">
        <v>1</v>
      </c>
      <c r="C4" s="7">
        <v>0</v>
      </c>
      <c r="D4" s="8"/>
      <c r="E4" s="6">
        <v>696000</v>
      </c>
      <c r="F4" s="7" t="s">
        <v>63</v>
      </c>
      <c r="G4" s="15" t="s">
        <v>2</v>
      </c>
      <c r="H4" s="7">
        <f>(C4:C7*1.4959787*10^11)/(2*10^10)</f>
        <v>0</v>
      </c>
      <c r="I4" s="7"/>
      <c r="J4" s="6">
        <f>(E4:E14*2/(2*10^10))*1000000</f>
        <v>69.6</v>
      </c>
      <c r="K4" s="7" t="s">
        <v>72</v>
      </c>
      <c r="L4" s="17">
        <f>(C4:C7*1.4959787*10^11/10^12)*100</f>
        <v>0</v>
      </c>
      <c r="M4" s="19"/>
      <c r="N4" s="6">
        <f aca="true" t="shared" si="0" ref="N4:N13">(E4:E14*2/10^12)*1000000</f>
        <v>1.392</v>
      </c>
      <c r="O4" s="8" t="s">
        <v>72</v>
      </c>
      <c r="P4" s="7">
        <f>((C4:C7*1.4959787*10^11)/(10^23))*10^12</f>
        <v>0</v>
      </c>
      <c r="Q4" s="7"/>
      <c r="R4" s="6">
        <f aca="true" t="shared" si="1" ref="R4:R13">(E4:E14*2*1000/10^23)*10^15</f>
        <v>13.92</v>
      </c>
      <c r="S4" s="8" t="s">
        <v>81</v>
      </c>
    </row>
    <row r="5" spans="1:19" ht="12.75">
      <c r="A5" s="21" t="s">
        <v>3</v>
      </c>
      <c r="B5" s="8" t="s">
        <v>4</v>
      </c>
      <c r="C5" s="7">
        <v>0.3871</v>
      </c>
      <c r="D5" s="8" t="s">
        <v>62</v>
      </c>
      <c r="E5" s="6">
        <v>2440</v>
      </c>
      <c r="F5" s="7" t="s">
        <v>63</v>
      </c>
      <c r="G5" s="21" t="s">
        <v>5</v>
      </c>
      <c r="H5" s="7">
        <f>(C5:C8*1.4959787*10^11)/(2*10^10)</f>
        <v>2.89546677385</v>
      </c>
      <c r="I5" s="7" t="s">
        <v>73</v>
      </c>
      <c r="J5" s="6">
        <f>(E5:E15*2/(2*10^10))*1000000</f>
        <v>0.24400000000000002</v>
      </c>
      <c r="K5" s="7" t="s">
        <v>72</v>
      </c>
      <c r="L5" s="17">
        <f>(C5:C8*1.4959787*10^11/10^12)*100</f>
        <v>5.7909335477</v>
      </c>
      <c r="M5" s="19" t="s">
        <v>74</v>
      </c>
      <c r="N5" s="6">
        <f>(E5:E15*2/10^12)*1000000</f>
        <v>0.00488</v>
      </c>
      <c r="O5" s="8" t="s">
        <v>72</v>
      </c>
      <c r="P5" s="7">
        <f>((C5:C8*1.4959787*10^11)/(10^23))*10^12</f>
        <v>0.57909335477</v>
      </c>
      <c r="Q5" s="7" t="s">
        <v>80</v>
      </c>
      <c r="R5" s="6">
        <f>(E5:E15*2*1000/10^23)*10^15</f>
        <v>0.0488</v>
      </c>
      <c r="S5" s="8" t="s">
        <v>81</v>
      </c>
    </row>
    <row r="6" spans="1:19" ht="12.75">
      <c r="A6" s="21" t="s">
        <v>6</v>
      </c>
      <c r="B6" s="8" t="s">
        <v>7</v>
      </c>
      <c r="C6" s="7">
        <v>0.7233</v>
      </c>
      <c r="D6" s="8" t="s">
        <v>62</v>
      </c>
      <c r="E6" s="6">
        <v>6052</v>
      </c>
      <c r="F6" s="7" t="s">
        <v>63</v>
      </c>
      <c r="G6" s="21" t="s">
        <v>8</v>
      </c>
      <c r="H6" s="7">
        <f>(C6:C9*1.4959787*10^11)/(2*10^10)</f>
        <v>5.410206968550001</v>
      </c>
      <c r="I6" s="7" t="s">
        <v>73</v>
      </c>
      <c r="J6" s="6">
        <f aca="true" t="shared" si="2" ref="J5:J13">(E6:E16*2/(2*10^10))*1000000</f>
        <v>0.6052000000000001</v>
      </c>
      <c r="K6" s="7" t="s">
        <v>72</v>
      </c>
      <c r="L6" s="17">
        <f>(C6:C9*1.4959787*10^11/10^12)*100</f>
        <v>10.820413937100001</v>
      </c>
      <c r="M6" s="19" t="s">
        <v>74</v>
      </c>
      <c r="N6" s="6">
        <f t="shared" si="0"/>
        <v>0.012104</v>
      </c>
      <c r="O6" s="8" t="s">
        <v>72</v>
      </c>
      <c r="P6" s="7">
        <f>((C6:C9*1.4959787*10^11)/(10^23))*10^12</f>
        <v>1.0820413937100002</v>
      </c>
      <c r="Q6" s="7" t="s">
        <v>80</v>
      </c>
      <c r="R6" s="6">
        <f t="shared" si="1"/>
        <v>0.12104000000000001</v>
      </c>
      <c r="S6" s="8" t="s">
        <v>81</v>
      </c>
    </row>
    <row r="7" spans="1:19" ht="12.75">
      <c r="A7" s="21" t="s">
        <v>9</v>
      </c>
      <c r="B7" s="8" t="s">
        <v>10</v>
      </c>
      <c r="C7" s="7">
        <v>1</v>
      </c>
      <c r="D7" s="8" t="s">
        <v>62</v>
      </c>
      <c r="E7" s="6">
        <v>6378</v>
      </c>
      <c r="F7" s="7" t="s">
        <v>63</v>
      </c>
      <c r="G7" s="21" t="s">
        <v>11</v>
      </c>
      <c r="H7" s="7">
        <f>(C7:C10*1.4959787*10^11)/(2*10^10)</f>
        <v>7.4798935</v>
      </c>
      <c r="I7" s="7" t="s">
        <v>73</v>
      </c>
      <c r="J7" s="6">
        <f t="shared" si="2"/>
        <v>0.6377999999999999</v>
      </c>
      <c r="K7" s="7" t="s">
        <v>72</v>
      </c>
      <c r="L7" s="17">
        <f>(C7:C10*1.4959787*10^11/10^12)*100</f>
        <v>14.959786999999999</v>
      </c>
      <c r="M7" s="19" t="s">
        <v>74</v>
      </c>
      <c r="N7" s="6">
        <f t="shared" si="0"/>
        <v>0.012756</v>
      </c>
      <c r="O7" s="8" t="s">
        <v>72</v>
      </c>
      <c r="P7" s="7">
        <f>((C7:C10*1.4959787*10^11)/(10^23))*10^12</f>
        <v>1.4959787000000002</v>
      </c>
      <c r="Q7" s="7" t="s">
        <v>80</v>
      </c>
      <c r="R7" s="6">
        <f t="shared" si="1"/>
        <v>0.12756000000000003</v>
      </c>
      <c r="S7" s="8" t="s">
        <v>81</v>
      </c>
    </row>
    <row r="8" spans="1:19" ht="12.75">
      <c r="A8" s="21" t="s">
        <v>12</v>
      </c>
      <c r="B8" s="8" t="s">
        <v>13</v>
      </c>
      <c r="C8" s="7">
        <v>384400</v>
      </c>
      <c r="D8" s="8" t="s">
        <v>63</v>
      </c>
      <c r="E8" s="6">
        <v>1738</v>
      </c>
      <c r="F8" s="7" t="s">
        <v>63</v>
      </c>
      <c r="G8" s="21" t="s">
        <v>14</v>
      </c>
      <c r="H8" s="7">
        <f>(C8/(2*10^10))*100000</f>
        <v>1.922</v>
      </c>
      <c r="I8" s="7" t="s">
        <v>75</v>
      </c>
      <c r="J8" s="6">
        <f t="shared" si="2"/>
        <v>0.1738</v>
      </c>
      <c r="K8" s="7" t="s">
        <v>72</v>
      </c>
      <c r="L8" s="17">
        <f>(C8/10^12)*1000000</f>
        <v>0.38439999999999996</v>
      </c>
      <c r="M8" s="19" t="s">
        <v>72</v>
      </c>
      <c r="N8" s="6">
        <f t="shared" si="0"/>
        <v>0.003476</v>
      </c>
      <c r="O8" s="8" t="s">
        <v>72</v>
      </c>
      <c r="P8" s="7">
        <f>(C8*1000/(10^23))*10^15</f>
        <v>3.8440000000000003</v>
      </c>
      <c r="Q8" s="7" t="s">
        <v>81</v>
      </c>
      <c r="R8" s="6">
        <f t="shared" si="1"/>
        <v>0.034760000000000006</v>
      </c>
      <c r="S8" s="8" t="s">
        <v>81</v>
      </c>
    </row>
    <row r="9" spans="1:19" ht="12.75">
      <c r="A9" s="21" t="s">
        <v>15</v>
      </c>
      <c r="B9" s="8" t="s">
        <v>16</v>
      </c>
      <c r="C9" s="7">
        <v>1.5237</v>
      </c>
      <c r="D9" s="8" t="s">
        <v>62</v>
      </c>
      <c r="E9" s="6">
        <v>3397</v>
      </c>
      <c r="F9" s="7" t="s">
        <v>63</v>
      </c>
      <c r="G9" s="21" t="s">
        <v>17</v>
      </c>
      <c r="H9" s="7">
        <f aca="true" t="shared" si="3" ref="H9:H14">(C8:C14*1.4959787*10^11)/(2*10^10)</f>
        <v>11.397113725950001</v>
      </c>
      <c r="I9" s="7" t="s">
        <v>73</v>
      </c>
      <c r="J9" s="6">
        <f>(E9:E19*2/(2*10^10))*1000000</f>
        <v>0.3397</v>
      </c>
      <c r="K9" s="7" t="s">
        <v>72</v>
      </c>
      <c r="L9" s="17">
        <f aca="true" t="shared" si="4" ref="L9:L14">(C9:C14*1.4959787*10^11/10^12)</f>
        <v>0.22794227451900004</v>
      </c>
      <c r="M9" s="19" t="s">
        <v>73</v>
      </c>
      <c r="N9" s="6">
        <f>(E9:E19*2/10^12)*1000000</f>
        <v>0.0067940000000000006</v>
      </c>
      <c r="O9" s="8" t="s">
        <v>72</v>
      </c>
      <c r="P9" s="7">
        <f aca="true" t="shared" si="5" ref="P9:P14">((C9:C14*1.4959787*10^11)/(10^23))*10^12</f>
        <v>2.2794227451900007</v>
      </c>
      <c r="Q9" s="7" t="s">
        <v>80</v>
      </c>
      <c r="R9" s="6">
        <f>(E9:E19*2*1000/10^23)*10^15</f>
        <v>0.06794</v>
      </c>
      <c r="S9" s="8" t="s">
        <v>81</v>
      </c>
    </row>
    <row r="10" spans="1:19" ht="12.75">
      <c r="A10" s="21" t="s">
        <v>18</v>
      </c>
      <c r="B10" s="8" t="s">
        <v>19</v>
      </c>
      <c r="C10" s="7">
        <v>5.2026</v>
      </c>
      <c r="D10" s="8" t="s">
        <v>62</v>
      </c>
      <c r="E10" s="6">
        <v>71492</v>
      </c>
      <c r="F10" s="7" t="s">
        <v>63</v>
      </c>
      <c r="G10" s="21" t="s">
        <v>20</v>
      </c>
      <c r="H10" s="7">
        <f t="shared" si="3"/>
        <v>38.9148939231</v>
      </c>
      <c r="I10" s="7" t="s">
        <v>73</v>
      </c>
      <c r="J10" s="6">
        <f t="shared" si="2"/>
        <v>7.1492</v>
      </c>
      <c r="K10" s="7" t="s">
        <v>72</v>
      </c>
      <c r="L10" s="17">
        <f t="shared" si="4"/>
        <v>0.778297878462</v>
      </c>
      <c r="M10" s="19" t="s">
        <v>73</v>
      </c>
      <c r="N10" s="6">
        <f t="shared" si="0"/>
        <v>0.142984</v>
      </c>
      <c r="O10" s="8" t="s">
        <v>72</v>
      </c>
      <c r="P10" s="7">
        <f t="shared" si="5"/>
        <v>7.78297878462</v>
      </c>
      <c r="Q10" s="7" t="s">
        <v>80</v>
      </c>
      <c r="R10" s="6">
        <f t="shared" si="1"/>
        <v>1.4298400000000002</v>
      </c>
      <c r="S10" s="8" t="s">
        <v>81</v>
      </c>
    </row>
    <row r="11" spans="1:19" ht="12.75">
      <c r="A11" s="21" t="s">
        <v>21</v>
      </c>
      <c r="B11" s="8" t="s">
        <v>22</v>
      </c>
      <c r="C11" s="7">
        <v>9.5549</v>
      </c>
      <c r="D11" s="8" t="s">
        <v>62</v>
      </c>
      <c r="E11" s="6">
        <v>60268</v>
      </c>
      <c r="F11" s="7" t="s">
        <v>63</v>
      </c>
      <c r="G11" s="21" t="s">
        <v>23</v>
      </c>
      <c r="H11" s="7">
        <f t="shared" si="3"/>
        <v>71.46963440315</v>
      </c>
      <c r="I11" s="7" t="s">
        <v>73</v>
      </c>
      <c r="J11" s="6">
        <f t="shared" si="2"/>
        <v>6.0268</v>
      </c>
      <c r="K11" s="7" t="s">
        <v>72</v>
      </c>
      <c r="L11" s="17">
        <f t="shared" si="4"/>
        <v>1.429392688063</v>
      </c>
      <c r="M11" s="19" t="s">
        <v>73</v>
      </c>
      <c r="N11" s="6">
        <f t="shared" si="0"/>
        <v>0.12053599999999999</v>
      </c>
      <c r="O11" s="8" t="s">
        <v>72</v>
      </c>
      <c r="P11" s="7">
        <f t="shared" si="5"/>
        <v>14.29392688063</v>
      </c>
      <c r="Q11" s="7" t="s">
        <v>80</v>
      </c>
      <c r="R11" s="6">
        <f t="shared" si="1"/>
        <v>1.2053600000000002</v>
      </c>
      <c r="S11" s="8" t="s">
        <v>81</v>
      </c>
    </row>
    <row r="12" spans="1:19" ht="12.75">
      <c r="A12" s="21" t="s">
        <v>24</v>
      </c>
      <c r="B12" s="8" t="s">
        <v>25</v>
      </c>
      <c r="C12" s="7">
        <v>19.2184</v>
      </c>
      <c r="D12" s="8" t="s">
        <v>62</v>
      </c>
      <c r="E12" s="6">
        <v>25559</v>
      </c>
      <c r="F12" s="7" t="s">
        <v>63</v>
      </c>
      <c r="G12" s="21" t="s">
        <v>26</v>
      </c>
      <c r="H12" s="7">
        <f t="shared" si="3"/>
        <v>143.7515852404</v>
      </c>
      <c r="I12" s="7" t="s">
        <v>73</v>
      </c>
      <c r="J12" s="6">
        <f t="shared" si="2"/>
        <v>2.5559</v>
      </c>
      <c r="K12" s="7" t="s">
        <v>72</v>
      </c>
      <c r="L12" s="17">
        <f t="shared" si="4"/>
        <v>2.875031704808</v>
      </c>
      <c r="M12" s="19" t="s">
        <v>73</v>
      </c>
      <c r="N12" s="6">
        <f t="shared" si="0"/>
        <v>0.051118000000000004</v>
      </c>
      <c r="O12" s="8" t="s">
        <v>72</v>
      </c>
      <c r="P12" s="7">
        <f t="shared" si="5"/>
        <v>28.750317048080003</v>
      </c>
      <c r="Q12" s="7" t="s">
        <v>80</v>
      </c>
      <c r="R12" s="6">
        <f t="shared" si="1"/>
        <v>0.5111800000000001</v>
      </c>
      <c r="S12" s="8" t="s">
        <v>81</v>
      </c>
    </row>
    <row r="13" spans="1:19" ht="12.75">
      <c r="A13" s="21" t="s">
        <v>27</v>
      </c>
      <c r="B13" s="8" t="s">
        <v>28</v>
      </c>
      <c r="C13" s="7">
        <v>30.1104</v>
      </c>
      <c r="D13" s="8" t="s">
        <v>62</v>
      </c>
      <c r="E13" s="6">
        <v>24764</v>
      </c>
      <c r="F13" s="7" t="s">
        <v>63</v>
      </c>
      <c r="G13" s="21" t="s">
        <v>29</v>
      </c>
      <c r="H13" s="7">
        <f t="shared" si="3"/>
        <v>225.2225852424</v>
      </c>
      <c r="I13" s="7" t="s">
        <v>73</v>
      </c>
      <c r="J13" s="6">
        <f t="shared" si="2"/>
        <v>2.4764</v>
      </c>
      <c r="K13" s="7" t="s">
        <v>72</v>
      </c>
      <c r="L13" s="17">
        <f t="shared" si="4"/>
        <v>4.504451704848</v>
      </c>
      <c r="M13" s="19" t="s">
        <v>73</v>
      </c>
      <c r="N13" s="6">
        <f t="shared" si="0"/>
        <v>0.049527999999999996</v>
      </c>
      <c r="O13" s="8" t="s">
        <v>72</v>
      </c>
      <c r="P13" s="7">
        <f t="shared" si="5"/>
        <v>45.04451704848</v>
      </c>
      <c r="Q13" s="7" t="s">
        <v>80</v>
      </c>
      <c r="R13" s="6">
        <f t="shared" si="1"/>
        <v>0.49528000000000005</v>
      </c>
      <c r="S13" s="8" t="s">
        <v>81</v>
      </c>
    </row>
    <row r="14" spans="1:19" ht="12.75">
      <c r="A14" s="21" t="s">
        <v>30</v>
      </c>
      <c r="B14" s="8" t="s">
        <v>31</v>
      </c>
      <c r="C14" s="7">
        <v>39.5403</v>
      </c>
      <c r="D14" s="8" t="s">
        <v>62</v>
      </c>
      <c r="E14" s="6">
        <v>1137</v>
      </c>
      <c r="F14" s="7" t="s">
        <v>63</v>
      </c>
      <c r="G14" s="21" t="s">
        <v>32</v>
      </c>
      <c r="H14" s="7">
        <f t="shared" si="3"/>
        <v>295.75723295805</v>
      </c>
      <c r="I14" s="7" t="s">
        <v>73</v>
      </c>
      <c r="J14" s="6">
        <f>(E14:E23*2/(2*10^10))*1000000</f>
        <v>0.11370000000000001</v>
      </c>
      <c r="K14" s="7" t="s">
        <v>72</v>
      </c>
      <c r="L14" s="17">
        <f t="shared" si="4"/>
        <v>5.915144659161</v>
      </c>
      <c r="M14" s="19" t="s">
        <v>73</v>
      </c>
      <c r="N14" s="6">
        <f>(E14:E23*2/10^12)*1000000</f>
        <v>0.002274</v>
      </c>
      <c r="O14" s="8" t="s">
        <v>72</v>
      </c>
      <c r="P14" s="7">
        <f t="shared" si="5"/>
        <v>59.15144659161001</v>
      </c>
      <c r="Q14" s="7" t="s">
        <v>80</v>
      </c>
      <c r="R14" s="6">
        <f>(E14:E23*2*1000/10^23)*10^15</f>
        <v>0.02274</v>
      </c>
      <c r="S14" s="8" t="s">
        <v>81</v>
      </c>
    </row>
    <row r="15" spans="1:19" ht="12.75">
      <c r="A15" s="21" t="s">
        <v>33</v>
      </c>
      <c r="B15" s="8" t="s">
        <v>34</v>
      </c>
      <c r="C15" s="7">
        <v>4.3</v>
      </c>
      <c r="D15" s="8" t="s">
        <v>64</v>
      </c>
      <c r="E15" s="15" t="s">
        <v>66</v>
      </c>
      <c r="F15" s="5"/>
      <c r="G15" s="21"/>
      <c r="H15" s="7">
        <f aca="true" t="shared" si="6" ref="H15:H21">(C15:C24*9.460528348*10^15)/(2*10^10*1000)</f>
        <v>2034.01359482</v>
      </c>
      <c r="I15" s="7" t="s">
        <v>63</v>
      </c>
      <c r="J15" s="6"/>
      <c r="K15" s="7"/>
      <c r="L15" s="17">
        <f aca="true" t="shared" si="7" ref="L15:L21">(C15:C24*9.460528348*10^15)/(10^12*1000)</f>
        <v>40.6802718964</v>
      </c>
      <c r="M15" s="19" t="s">
        <v>63</v>
      </c>
      <c r="N15" s="6"/>
      <c r="O15" s="8"/>
      <c r="P15" s="7">
        <f>((C15:C16*9.460528348*10^15)/10^23)*1000000</f>
        <v>0.406802718964</v>
      </c>
      <c r="Q15" s="7" t="s">
        <v>78</v>
      </c>
      <c r="R15" s="6"/>
      <c r="S15" s="8"/>
    </row>
    <row r="16" spans="1:19" ht="12.75">
      <c r="A16" s="21" t="s">
        <v>35</v>
      </c>
      <c r="B16" s="8" t="s">
        <v>36</v>
      </c>
      <c r="C16" s="7">
        <v>8.7</v>
      </c>
      <c r="D16" s="8" t="s">
        <v>64</v>
      </c>
      <c r="E16" s="3">
        <v>1.76</v>
      </c>
      <c r="F16" s="5"/>
      <c r="G16" s="21"/>
      <c r="H16" s="7">
        <f t="shared" si="6"/>
        <v>4115.32983138</v>
      </c>
      <c r="I16" s="7" t="s">
        <v>63</v>
      </c>
      <c r="J16" s="6">
        <f>E16*J4/10</f>
        <v>12.2496</v>
      </c>
      <c r="K16" s="7" t="s">
        <v>74</v>
      </c>
      <c r="L16" s="17">
        <f t="shared" si="7"/>
        <v>82.3065966276</v>
      </c>
      <c r="M16" s="19" t="s">
        <v>63</v>
      </c>
      <c r="N16" s="6">
        <f>E16*N4</f>
        <v>2.4499199999999997</v>
      </c>
      <c r="O16" s="8" t="s">
        <v>72</v>
      </c>
      <c r="P16" s="7">
        <f>((C16:C17*9.460528348*10^15)/10^23)*1000000</f>
        <v>0.823065966276</v>
      </c>
      <c r="Q16" s="7" t="s">
        <v>78</v>
      </c>
      <c r="R16" s="6">
        <f>E16*R4</f>
        <v>24.4992</v>
      </c>
      <c r="S16" s="8" t="s">
        <v>81</v>
      </c>
    </row>
    <row r="17" spans="1:19" ht="12.75">
      <c r="A17" s="21" t="s">
        <v>37</v>
      </c>
      <c r="B17" s="8" t="s">
        <v>38</v>
      </c>
      <c r="C17" s="7">
        <v>500</v>
      </c>
      <c r="D17" s="8" t="s">
        <v>64</v>
      </c>
      <c r="E17" s="6"/>
      <c r="F17" s="8"/>
      <c r="G17" s="21"/>
      <c r="H17" s="7">
        <f t="shared" si="6"/>
        <v>236513.2087</v>
      </c>
      <c r="I17" s="7" t="s">
        <v>63</v>
      </c>
      <c r="J17" s="6"/>
      <c r="K17" s="7"/>
      <c r="L17" s="17">
        <f t="shared" si="7"/>
        <v>4730.264174</v>
      </c>
      <c r="M17" s="19" t="s">
        <v>63</v>
      </c>
      <c r="N17" s="6"/>
      <c r="O17" s="8"/>
      <c r="P17" s="7">
        <f aca="true" t="shared" si="8" ref="P17:P24">((C17:C24*9.460528348*10^15)/10^23)*1000</f>
        <v>0.047302641740000005</v>
      </c>
      <c r="Q17" s="7" t="s">
        <v>72</v>
      </c>
      <c r="R17" s="6"/>
      <c r="S17" s="8"/>
    </row>
    <row r="18" spans="1:19" ht="12.75">
      <c r="A18" s="21" t="s">
        <v>39</v>
      </c>
      <c r="B18" s="8" t="s">
        <v>40</v>
      </c>
      <c r="C18" s="7">
        <v>500</v>
      </c>
      <c r="D18" s="8" t="s">
        <v>64</v>
      </c>
      <c r="E18" s="9">
        <v>230</v>
      </c>
      <c r="F18" s="10"/>
      <c r="G18" s="21"/>
      <c r="H18" s="7">
        <f t="shared" si="6"/>
        <v>236513.2087</v>
      </c>
      <c r="I18" s="7" t="s">
        <v>63</v>
      </c>
      <c r="J18" s="6">
        <f>E18*J4/1000</f>
        <v>16.008</v>
      </c>
      <c r="K18" s="7" t="s">
        <v>76</v>
      </c>
      <c r="L18" s="17">
        <f t="shared" si="7"/>
        <v>4730.264174</v>
      </c>
      <c r="M18" s="19" t="s">
        <v>63</v>
      </c>
      <c r="N18" s="6">
        <f>E18*N4/10</f>
        <v>32.016</v>
      </c>
      <c r="O18" s="8" t="s">
        <v>74</v>
      </c>
      <c r="P18" s="7">
        <f t="shared" si="8"/>
        <v>0.047302641740000005</v>
      </c>
      <c r="Q18" s="7" t="s">
        <v>72</v>
      </c>
      <c r="R18" s="6">
        <f>E18*R4/1000</f>
        <v>3.2016</v>
      </c>
      <c r="S18" s="8" t="s">
        <v>82</v>
      </c>
    </row>
    <row r="19" spans="1:19" ht="12.75">
      <c r="A19" s="21" t="s">
        <v>41</v>
      </c>
      <c r="B19" s="8" t="s">
        <v>42</v>
      </c>
      <c r="C19" s="7">
        <v>700</v>
      </c>
      <c r="D19" s="7" t="s">
        <v>64</v>
      </c>
      <c r="E19" s="21" t="s">
        <v>89</v>
      </c>
      <c r="F19" s="7"/>
      <c r="G19" s="15" t="s">
        <v>77</v>
      </c>
      <c r="H19" s="7">
        <f t="shared" si="6"/>
        <v>331118.49218</v>
      </c>
      <c r="I19" s="7" t="s">
        <v>63</v>
      </c>
      <c r="J19" s="6"/>
      <c r="K19" s="7"/>
      <c r="L19" s="17">
        <f t="shared" si="7"/>
        <v>6622.3698436</v>
      </c>
      <c r="M19" s="19" t="s">
        <v>63</v>
      </c>
      <c r="N19" s="6"/>
      <c r="O19" s="8" t="s">
        <v>63</v>
      </c>
      <c r="P19" s="7">
        <f t="shared" si="8"/>
        <v>0.066223698436</v>
      </c>
      <c r="Q19" s="7" t="s">
        <v>72</v>
      </c>
      <c r="R19" s="6"/>
      <c r="S19" s="8"/>
    </row>
    <row r="20" spans="1:19" ht="12.75">
      <c r="A20" s="21" t="s">
        <v>43</v>
      </c>
      <c r="B20" s="8" t="s">
        <v>44</v>
      </c>
      <c r="C20" s="7">
        <v>408</v>
      </c>
      <c r="D20" s="7" t="s">
        <v>64</v>
      </c>
      <c r="E20" s="15">
        <f>3.1415926535*C20:C28*(G20:G28/(180*60))</f>
        <v>2.611012560908889</v>
      </c>
      <c r="F20" s="7"/>
      <c r="G20" s="15">
        <v>22</v>
      </c>
      <c r="H20" s="7">
        <f t="shared" si="6"/>
        <v>192994.77829920003</v>
      </c>
      <c r="I20" s="7" t="s">
        <v>63</v>
      </c>
      <c r="J20" s="6">
        <f>H20:H24*3.1415926535*(G20:G24/(180*60))</f>
        <v>1235.0779174731313</v>
      </c>
      <c r="K20" s="7" t="s">
        <v>63</v>
      </c>
      <c r="L20" s="17">
        <f t="shared" si="7"/>
        <v>3859.8955659840003</v>
      </c>
      <c r="M20" s="19" t="s">
        <v>63</v>
      </c>
      <c r="N20" s="6">
        <f>L20:L24*3.1415926535*(G20:G24/(180*60))</f>
        <v>24.701558349462623</v>
      </c>
      <c r="O20" s="8" t="s">
        <v>63</v>
      </c>
      <c r="P20" s="7">
        <f t="shared" si="8"/>
        <v>0.038598955659840006</v>
      </c>
      <c r="Q20" s="7" t="s">
        <v>72</v>
      </c>
      <c r="R20" s="6">
        <f>P20:P24*3.1415926535*(G20:G24/(180*60))*1000</f>
        <v>0.2470155834946262</v>
      </c>
      <c r="S20" s="8" t="s">
        <v>78</v>
      </c>
    </row>
    <row r="21" spans="1:19" ht="12.75">
      <c r="A21" s="21" t="s">
        <v>45</v>
      </c>
      <c r="B21" s="8" t="s">
        <v>91</v>
      </c>
      <c r="C21" s="7">
        <v>820</v>
      </c>
      <c r="D21" s="7" t="s">
        <v>64</v>
      </c>
      <c r="E21" s="21">
        <f>3.1415926535*C21:C29*(G21:G29/(180*60))</f>
        <v>1.6696983176935183</v>
      </c>
      <c r="F21" s="7"/>
      <c r="G21" s="21">
        <v>7</v>
      </c>
      <c r="H21" s="7">
        <f t="shared" si="6"/>
        <v>387881.6622680001</v>
      </c>
      <c r="I21" s="7" t="s">
        <v>63</v>
      </c>
      <c r="J21" s="6">
        <f>H21:H25*3.1415926535*(G21:G25/(180*60))</f>
        <v>789.8114133573723</v>
      </c>
      <c r="K21" s="7" t="s">
        <v>63</v>
      </c>
      <c r="L21" s="17">
        <f t="shared" si="7"/>
        <v>7757.633245360001</v>
      </c>
      <c r="M21" s="19" t="s">
        <v>63</v>
      </c>
      <c r="N21" s="6">
        <f>L21:L25*3.1415926535*(G21:G25/(180*60))</f>
        <v>15.796228267147443</v>
      </c>
      <c r="O21" s="8" t="s">
        <v>63</v>
      </c>
      <c r="P21" s="7">
        <f t="shared" si="8"/>
        <v>0.07757633245360002</v>
      </c>
      <c r="Q21" s="7" t="s">
        <v>72</v>
      </c>
      <c r="R21" s="6">
        <f>P21:P25*3.1415926535*(G21:G25/(180*60))*1000</f>
        <v>0.15796228267147447</v>
      </c>
      <c r="S21" s="8" t="s">
        <v>78</v>
      </c>
    </row>
    <row r="22" spans="1:19" ht="12.75">
      <c r="A22" s="21" t="s">
        <v>46</v>
      </c>
      <c r="B22" s="8" t="s">
        <v>92</v>
      </c>
      <c r="C22" s="7">
        <v>2600</v>
      </c>
      <c r="D22" s="7" t="s">
        <v>64</v>
      </c>
      <c r="E22" s="21">
        <f>3.1415926535*C22:C30*(G22:G30/(180*60))</f>
        <v>0.7563093425092592</v>
      </c>
      <c r="F22" s="7"/>
      <c r="G22" s="21">
        <v>1</v>
      </c>
      <c r="H22" s="7">
        <f>(C22:C34*9.460528348*10^15)/(2*10^10*1000)</f>
        <v>1229868.68524</v>
      </c>
      <c r="I22" s="7" t="s">
        <v>63</v>
      </c>
      <c r="J22" s="6">
        <f>H22:H26*3.1415926535*(G22:G26/(180*60))</f>
        <v>357.75429873330444</v>
      </c>
      <c r="K22" s="7" t="s">
        <v>63</v>
      </c>
      <c r="L22" s="17">
        <f>(C22:C34*9.460528348*10^15)/(10^12*1000)</f>
        <v>24597.3737048</v>
      </c>
      <c r="M22" s="19" t="s">
        <v>63</v>
      </c>
      <c r="N22" s="6">
        <f>L22:L26*3.1415926535*(G22:G26/(180*60))</f>
        <v>7.155085974666089</v>
      </c>
      <c r="O22" s="8" t="s">
        <v>63</v>
      </c>
      <c r="P22" s="7">
        <f t="shared" si="8"/>
        <v>0.24597373704800002</v>
      </c>
      <c r="Q22" s="7" t="s">
        <v>72</v>
      </c>
      <c r="R22" s="6">
        <f>P22:P26*3.1415926535*(G22:G26/(180*60))*1000</f>
        <v>0.07155085974666088</v>
      </c>
      <c r="S22" s="8" t="s">
        <v>78</v>
      </c>
    </row>
    <row r="23" spans="1:19" ht="12.75">
      <c r="A23" s="21"/>
      <c r="B23" s="8" t="s">
        <v>93</v>
      </c>
      <c r="C23" s="7">
        <v>4600</v>
      </c>
      <c r="D23" s="7" t="s">
        <v>64</v>
      </c>
      <c r="E23" s="21">
        <f>3.1415926535*C23:C31*(G23:G31/(180*60))</f>
        <v>80.28514558944445</v>
      </c>
      <c r="F23" s="7"/>
      <c r="G23" s="21">
        <v>60</v>
      </c>
      <c r="H23" s="7">
        <f>(C23:C35*9.460528348*10^15)/(2*10^10*1000)</f>
        <v>2175921.5200400003</v>
      </c>
      <c r="I23" s="7" t="s">
        <v>63</v>
      </c>
      <c r="J23" s="6">
        <f>H23:H27*3.1415926535*(G23:G27/(180*60))</f>
        <v>37976.99478861233</v>
      </c>
      <c r="K23" s="7" t="s">
        <v>63</v>
      </c>
      <c r="L23" s="17">
        <f>(C23:C35*9.460528348*10^15)/(10^12*1000)</f>
        <v>43518.4304008</v>
      </c>
      <c r="M23" s="19" t="s">
        <v>63</v>
      </c>
      <c r="N23" s="6">
        <f>L23:L27*3.1415926535*(G23:G27/(180*60))</f>
        <v>759.5398957722465</v>
      </c>
      <c r="O23" s="8" t="s">
        <v>63</v>
      </c>
      <c r="P23" s="7">
        <f t="shared" si="8"/>
        <v>0.4351843040080001</v>
      </c>
      <c r="Q23" s="7" t="s">
        <v>72</v>
      </c>
      <c r="R23" s="6">
        <f>P23:P27*3.1415926535*(G23:G27/(180*60))*1000</f>
        <v>7.595398957722466</v>
      </c>
      <c r="S23" s="8" t="s">
        <v>78</v>
      </c>
    </row>
    <row r="24" spans="1:19" ht="12.75">
      <c r="A24" s="21" t="s">
        <v>47</v>
      </c>
      <c r="B24" s="8" t="s">
        <v>94</v>
      </c>
      <c r="C24" s="7">
        <v>7200</v>
      </c>
      <c r="D24" s="7" t="s">
        <v>64</v>
      </c>
      <c r="E24" s="21">
        <f>3.1415926535*C24:C33*(G24:G33/(180*60))</f>
        <v>10.471975511666667</v>
      </c>
      <c r="F24" s="16" t="s">
        <v>67</v>
      </c>
      <c r="G24" s="21">
        <v>5</v>
      </c>
      <c r="H24" s="7">
        <f>(C24:C36*9.460528348*10^15)/(2*10^10*1000)</f>
        <v>3405790.2052800003</v>
      </c>
      <c r="I24" s="7" t="s">
        <v>63</v>
      </c>
      <c r="J24" s="6">
        <f>H24:H28*3.1415926535*(G24:G28/(180*60))</f>
        <v>4953.521059384216</v>
      </c>
      <c r="K24" s="7" t="s">
        <v>63</v>
      </c>
      <c r="L24" s="17">
        <f>(C24:C36*9.460528348*10^15)/(10^12*1000)</f>
        <v>68115.80410560001</v>
      </c>
      <c r="M24" s="19" t="s">
        <v>63</v>
      </c>
      <c r="N24" s="6">
        <f>L24:L28*3.1415926535*(G24:G28/(180*60))</f>
        <v>99.07042118768432</v>
      </c>
      <c r="O24" s="8" t="s">
        <v>63</v>
      </c>
      <c r="P24" s="7">
        <f t="shared" si="8"/>
        <v>0.6811580410560001</v>
      </c>
      <c r="Q24" s="7" t="s">
        <v>72</v>
      </c>
      <c r="R24" s="6">
        <f>P24:P28*3.1415926535*(G24:G28/(180*60))*1000</f>
        <v>0.9907042118768431</v>
      </c>
      <c r="S24" s="8" t="s">
        <v>78</v>
      </c>
    </row>
    <row r="25" spans="1:19" ht="12.75">
      <c r="A25" s="21" t="s">
        <v>48</v>
      </c>
      <c r="B25" s="8"/>
      <c r="C25" s="7">
        <v>2300000</v>
      </c>
      <c r="D25" s="7" t="s">
        <v>64</v>
      </c>
      <c r="E25" s="21">
        <f>3.1415926535*C25:C34*(G25:G34/(180*60))</f>
        <v>120427.71838416667</v>
      </c>
      <c r="F25" s="16" t="s">
        <v>90</v>
      </c>
      <c r="G25" s="21">
        <v>180</v>
      </c>
      <c r="H25" s="7">
        <f>(C25:C28*9.460528348*10^15)/(2*10^10*1.4959787*10^11)</f>
        <v>7.272568519992966</v>
      </c>
      <c r="I25" s="7" t="s">
        <v>62</v>
      </c>
      <c r="J25" s="6">
        <f>H25:H28*3.1415926535*(G25:G28/(180*60))</f>
        <v>0.3807907972414212</v>
      </c>
      <c r="K25" s="7" t="s">
        <v>62</v>
      </c>
      <c r="L25" s="17">
        <f>(C25:C28*9.460528348*10^15)/(10^12*1.4959787*10^11)</f>
        <v>0.1454513703998593</v>
      </c>
      <c r="M25" s="19" t="s">
        <v>62</v>
      </c>
      <c r="N25" s="6">
        <f>L25:L28*3.1415926535*1.4959787*10^8*(G25:G28/(180*60))</f>
        <v>1139309.8436583695</v>
      </c>
      <c r="O25" s="8" t="s">
        <v>63</v>
      </c>
      <c r="P25" s="7">
        <f>((C25:C28*9.460528348*10^15)/10^23)*100</f>
        <v>21.759215200400003</v>
      </c>
      <c r="Q25" s="7" t="s">
        <v>74</v>
      </c>
      <c r="R25" s="6">
        <f>P25:P28*3.1415926535*(G25:G28/(180*60))</f>
        <v>1.1393098436583697</v>
      </c>
      <c r="S25" s="8" t="s">
        <v>74</v>
      </c>
    </row>
    <row r="26" spans="1:19" ht="12.75">
      <c r="A26" s="21" t="s">
        <v>49</v>
      </c>
      <c r="B26" s="8"/>
      <c r="C26" s="7">
        <v>21000000</v>
      </c>
      <c r="D26" s="7" t="s">
        <v>64</v>
      </c>
      <c r="E26" s="21">
        <f>3.1415926535*C26:C35*(G26:G35/(180*60))</f>
        <v>67195.1761998611</v>
      </c>
      <c r="F26" s="17" t="s">
        <v>50</v>
      </c>
      <c r="G26" s="21">
        <v>11</v>
      </c>
      <c r="H26" s="7">
        <f>(C26:C29*9.460528348*10^15)/(2*10^10*1.4959787*10^11)</f>
        <v>66.40171257384883</v>
      </c>
      <c r="I26" s="7" t="s">
        <v>62</v>
      </c>
      <c r="J26" s="6">
        <f>H26:H29*3.1415926535*(G26:G29/(180*60))</f>
        <v>0.2124702274463002</v>
      </c>
      <c r="K26" s="7" t="s">
        <v>62</v>
      </c>
      <c r="L26" s="17">
        <f>(C26:C29*9.460528348*10^15)/(10^12*1.4959787*10^11)</f>
        <v>1.3280342514769763</v>
      </c>
      <c r="M26" s="19" t="s">
        <v>62</v>
      </c>
      <c r="N26" s="6">
        <f>L26:L29*3.1415926535*1.4959787*10^8*(G26:G29/(180*60))</f>
        <v>635701.8692876409</v>
      </c>
      <c r="O26" s="8" t="s">
        <v>63</v>
      </c>
      <c r="P26" s="7">
        <f>((C26:C29*9.460528348*10^15)/10^23)*100</f>
        <v>198.67109530800002</v>
      </c>
      <c r="Q26" s="7" t="s">
        <v>74</v>
      </c>
      <c r="R26" s="6">
        <f>P26:P29*3.1415926535*(G26:G29/(180*60))</f>
        <v>0.6357018692876409</v>
      </c>
      <c r="S26" s="8" t="s">
        <v>74</v>
      </c>
    </row>
    <row r="27" spans="1:19" ht="12.75">
      <c r="A27" s="21" t="s">
        <v>51</v>
      </c>
      <c r="B27" s="8"/>
      <c r="C27" s="7">
        <v>46000000</v>
      </c>
      <c r="D27" s="7" t="s">
        <v>64</v>
      </c>
      <c r="E27" s="21">
        <f>3.1415926535*C27:C36*(G27:G36/(180*60))</f>
        <v>120427.71838416667</v>
      </c>
      <c r="F27" s="17" t="s">
        <v>52</v>
      </c>
      <c r="G27" s="21">
        <v>9</v>
      </c>
      <c r="H27" s="7">
        <f>(C27:C30*9.460528348*10^15)/(2*10^10*1.4959787*10^11)</f>
        <v>145.45137039985931</v>
      </c>
      <c r="I27" s="7" t="s">
        <v>62</v>
      </c>
      <c r="J27" s="6">
        <f>H27:H30*3.1415926535*(G27:G30/(180*60))</f>
        <v>0.3807907972414212</v>
      </c>
      <c r="K27" s="7" t="s">
        <v>62</v>
      </c>
      <c r="L27" s="17">
        <f>(C27:C30*9.460528348*10^15)/(10^12*1.4959787*10^11)</f>
        <v>2.9090274079971863</v>
      </c>
      <c r="M27" s="19" t="s">
        <v>62</v>
      </c>
      <c r="N27" s="6">
        <f>L27:L30*3.1415926535*1.4959787*10^8*(G27:G30/(180*60))</f>
        <v>1139309.8436583697</v>
      </c>
      <c r="O27" s="8" t="s">
        <v>63</v>
      </c>
      <c r="P27" s="7">
        <f>((C27:C30*9.460528348*10^15)/10^23)*100</f>
        <v>435.184304008</v>
      </c>
      <c r="Q27" s="7" t="s">
        <v>74</v>
      </c>
      <c r="R27" s="6">
        <f>P27:P30*3.1415926535*(G27:G30/(180*60))</f>
        <v>1.1393098436583695</v>
      </c>
      <c r="S27" s="8" t="s">
        <v>74</v>
      </c>
    </row>
    <row r="28" spans="1:19" ht="12.75">
      <c r="A28" s="22" t="s">
        <v>53</v>
      </c>
      <c r="B28" s="10"/>
      <c r="C28" s="2">
        <v>59000000</v>
      </c>
      <c r="D28" s="2" t="s">
        <v>64</v>
      </c>
      <c r="E28" s="22">
        <f>3.1415926535*C28:C37*(G28:G37/(180*60))</f>
        <v>120136.83017550927</v>
      </c>
      <c r="F28" s="18" t="s">
        <v>54</v>
      </c>
      <c r="G28" s="22">
        <v>7</v>
      </c>
      <c r="H28" s="2">
        <f>(C28:C34*9.460528348*10^15)/(2*10^10*1.4959787*10^11)</f>
        <v>186.55719246938477</v>
      </c>
      <c r="I28" s="2" t="s">
        <v>62</v>
      </c>
      <c r="J28" s="9">
        <f>H28:H31*3.1415926535*(G28:G31/(180*60))</f>
        <v>0.37987101270702156</v>
      </c>
      <c r="K28" s="2" t="s">
        <v>62</v>
      </c>
      <c r="L28" s="18">
        <f>(C28:C34*9.460528348*10^15)/(10^12*1.4959787*10^11)</f>
        <v>3.7311438493876956</v>
      </c>
      <c r="M28" s="20" t="s">
        <v>62</v>
      </c>
      <c r="N28" s="9">
        <f>L28:L31*3.1415926535*1.4959787*10^8*(G28:G31/(180*60))</f>
        <v>1136557.8875142671</v>
      </c>
      <c r="O28" s="10" t="s">
        <v>63</v>
      </c>
      <c r="P28" s="2">
        <f>((C28:C31*9.460528348*10^15)/10^23)*100</f>
        <v>558.1711725320001</v>
      </c>
      <c r="Q28" s="2" t="s">
        <v>74</v>
      </c>
      <c r="R28" s="9">
        <f>P28:P31*3.1415926535*(G28:G31/(180*60))</f>
        <v>1.1365578875142675</v>
      </c>
      <c r="S28" s="10" t="s">
        <v>74</v>
      </c>
    </row>
    <row r="30" ht="12.75">
      <c r="A30" t="s">
        <v>79</v>
      </c>
    </row>
    <row r="31" ht="12.75">
      <c r="A31" t="s">
        <v>110</v>
      </c>
    </row>
    <row r="32" ht="12.75">
      <c r="L32" s="7"/>
    </row>
    <row r="33" spans="1:9" ht="12.75">
      <c r="A33" s="3"/>
      <c r="B33" s="12" t="s">
        <v>99</v>
      </c>
      <c r="C33" s="14"/>
      <c r="D33" s="12" t="s">
        <v>68</v>
      </c>
      <c r="E33" s="14"/>
      <c r="F33" s="12" t="s">
        <v>69</v>
      </c>
      <c r="G33" s="14"/>
      <c r="H33" s="12" t="s">
        <v>105</v>
      </c>
      <c r="I33" s="23" t="s">
        <v>96</v>
      </c>
    </row>
    <row r="34" spans="1:16" ht="12.75">
      <c r="A34" s="15" t="s">
        <v>58</v>
      </c>
      <c r="B34" s="3">
        <v>299792458</v>
      </c>
      <c r="C34" s="5" t="s">
        <v>59</v>
      </c>
      <c r="D34" s="3">
        <f>(B34/(2*10^10))*1000</f>
        <v>14.989622899999999</v>
      </c>
      <c r="E34" s="5" t="s">
        <v>88</v>
      </c>
      <c r="F34" s="3">
        <f>(B34/10^12)*1000</f>
        <v>0.29979245800000004</v>
      </c>
      <c r="G34" s="5" t="s">
        <v>88</v>
      </c>
      <c r="H34" s="3">
        <f>(B34/10^23)*60*60*24*365*1000*10000</f>
        <v>0.9454254955488</v>
      </c>
      <c r="I34" s="5" t="s">
        <v>104</v>
      </c>
      <c r="P34" s="7"/>
    </row>
    <row r="35" spans="1:18" ht="12.75">
      <c r="A35" s="21" t="s">
        <v>55</v>
      </c>
      <c r="B35" s="6">
        <f>1.4959787*10^11</f>
        <v>149597870000</v>
      </c>
      <c r="C35" s="8" t="s">
        <v>73</v>
      </c>
      <c r="D35" s="6">
        <f>B35:B37/(2*10^10)</f>
        <v>7.4798935</v>
      </c>
      <c r="E35" s="8" t="s">
        <v>73</v>
      </c>
      <c r="F35" s="6">
        <f>(B35/10^12)*100</f>
        <v>14.959786999999999</v>
      </c>
      <c r="G35" s="8" t="s">
        <v>74</v>
      </c>
      <c r="H35" s="6">
        <f>(B35/10^23)*10^12</f>
        <v>1.4959787000000002</v>
      </c>
      <c r="I35" s="8" t="s">
        <v>86</v>
      </c>
      <c r="P35" s="7"/>
      <c r="Q35" s="7"/>
      <c r="R35" s="7"/>
    </row>
    <row r="36" spans="1:18" ht="12.75">
      <c r="A36" s="21" t="s">
        <v>56</v>
      </c>
      <c r="B36" s="6">
        <f>9.460528348*10^15</f>
        <v>9460528348000000</v>
      </c>
      <c r="C36" s="8" t="s">
        <v>73</v>
      </c>
      <c r="D36" s="6">
        <f>(B36/(2*10^10))/1000</f>
        <v>473.02641739999996</v>
      </c>
      <c r="E36" s="8" t="s">
        <v>63</v>
      </c>
      <c r="F36" s="6">
        <f>(B36:B37/10^12)/1000</f>
        <v>9.460528348</v>
      </c>
      <c r="G36" s="8" t="s">
        <v>63</v>
      </c>
      <c r="H36" s="6">
        <f>(B36:B37/10^23)*10^9</f>
        <v>94.60528348000001</v>
      </c>
      <c r="I36" s="8" t="s">
        <v>87</v>
      </c>
      <c r="P36" s="7"/>
      <c r="Q36" s="7"/>
      <c r="R36" s="7"/>
    </row>
    <row r="37" spans="1:18" ht="12.75">
      <c r="A37" s="22" t="s">
        <v>57</v>
      </c>
      <c r="B37" s="9">
        <f>3.0856776*10^16</f>
        <v>30856776000000000</v>
      </c>
      <c r="C37" s="10" t="s">
        <v>76</v>
      </c>
      <c r="D37" s="9">
        <f>(B37/(2*10^10))/1000</f>
        <v>1542.8388</v>
      </c>
      <c r="E37" s="10" t="s">
        <v>63</v>
      </c>
      <c r="F37" s="9">
        <f>(B37:B38/10^12)/1000</f>
        <v>30.856776</v>
      </c>
      <c r="G37" s="10" t="s">
        <v>63</v>
      </c>
      <c r="H37" s="9">
        <f>(B37/10^23)*10^9</f>
        <v>308.56776</v>
      </c>
      <c r="I37" s="10" t="s">
        <v>87</v>
      </c>
      <c r="P37" s="7"/>
      <c r="Q37" s="7"/>
      <c r="R37" s="7"/>
    </row>
    <row r="38" spans="16:18" ht="12.75">
      <c r="P38" s="7"/>
      <c r="Q38" s="7"/>
      <c r="R38" s="7"/>
    </row>
    <row r="39" spans="1:19" ht="12.75">
      <c r="A39" s="2" t="s">
        <v>83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12.75">
      <c r="A40" t="s">
        <v>84</v>
      </c>
    </row>
    <row r="41" ht="12.75">
      <c r="A41" t="s">
        <v>85</v>
      </c>
    </row>
    <row r="44" spans="1:19" ht="12.75">
      <c r="A44" s="2" t="s">
        <v>100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3" ht="12.75">
      <c r="A45" t="s">
        <v>101</v>
      </c>
      <c r="B45" s="24" t="s">
        <v>107</v>
      </c>
      <c r="C45" t="s">
        <v>109</v>
      </c>
    </row>
    <row r="46" spans="1:3" ht="12.75">
      <c r="A46" t="s">
        <v>102</v>
      </c>
      <c r="B46" s="24" t="s">
        <v>108</v>
      </c>
      <c r="C46" t="s">
        <v>111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http://www.win.ne.jp/~ntomo/universe/jikkan.xls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実感 太陽系/銀河系 スケール</dc:title>
  <dc:subject/>
  <dc:creator>NOMOTO Tomonori</dc:creator>
  <cp:keywords/>
  <dc:description>E-Mail: ntomo@super.win.ne.jp
URL: http://www.win.ne.jp/~ntomo/index-j.html</dc:description>
  <cp:lastModifiedBy>野本知理</cp:lastModifiedBy>
  <dcterms:created xsi:type="dcterms:W3CDTF">2000-11-03T09:37:31Z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